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ya\AppData\Local\Microsoft\Windows\INetCache\Content.Outlook\9SXXHUVW\"/>
    </mc:Choice>
  </mc:AlternateContent>
  <xr:revisionPtr revIDLastSave="0" documentId="13_ncr:1_{025E13F5-A66A-4DF0-B7E5-CE5136B51702}" xr6:coauthVersionLast="45" xr6:coauthVersionMax="45" xr10:uidLastSave="{00000000-0000-0000-0000-000000000000}"/>
  <workbookProtection workbookAlgorithmName="SHA-512" workbookHashValue="Jd5HulSHHhzKklndTfJRcZH3njNR0N9pPRmt2Ft1w6p53bdBw/3AtjGTzbhg/2VaKBX63RHIg2U6hwLuJRi1ww==" workbookSaltValue="9KOT8NGteKjeZk8Ws8EVOA==" workbookSpinCount="100000" lockStructure="1"/>
  <bookViews>
    <workbookView xWindow="-120" yWindow="-120" windowWidth="20730" windowHeight="11160" tabRatio="530" xr2:uid="{00000000-000D-0000-FFFF-FFFF00000000}"/>
  </bookViews>
  <sheets>
    <sheet name="eG Manager &amp; Database Sizing" sheetId="2" r:id="rId1"/>
    <sheet name="Sheet1" sheetId="3" state="hidden" r:id="rId2"/>
  </sheets>
  <externalReferences>
    <externalReference r:id="rId3"/>
  </externalReferences>
  <definedNames>
    <definedName name="DDMode">[1]Sheet1!$A$1:$A$2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D49" i="2" l="1"/>
  <c r="D48" i="2"/>
  <c r="D55" i="2" l="1"/>
  <c r="D54" i="2"/>
  <c r="D57" i="2" l="1"/>
  <c r="D56" i="2" l="1"/>
  <c r="D61" i="2"/>
  <c r="D65" i="2" l="1"/>
  <c r="E39" i="2"/>
  <c r="D50" i="2" s="1"/>
  <c r="E22" i="2"/>
  <c r="E65" i="2" l="1"/>
  <c r="E61" i="2"/>
  <c r="D79" i="2"/>
  <c r="D71" i="2"/>
  <c r="D34" i="2" l="1"/>
  <c r="D80" i="2" l="1"/>
  <c r="D81" i="2" s="1"/>
  <c r="D82" i="2"/>
  <c r="D83" i="2"/>
  <c r="D75" i="2"/>
  <c r="D74" i="2"/>
  <c r="D72" i="2"/>
  <c r="D73" i="2" s="1"/>
  <c r="F61" i="2" l="1"/>
  <c r="F62" i="2" l="1"/>
  <c r="F63" i="2" s="1"/>
  <c r="F64" i="2" s="1"/>
  <c r="E62" i="2"/>
  <c r="F34" i="2"/>
  <c r="D33" i="2"/>
  <c r="F33" i="2" l="1"/>
  <c r="E33" i="2"/>
  <c r="F65" i="2" s="1"/>
  <c r="F66" i="2" s="1"/>
  <c r="E63" i="2"/>
  <c r="E64" i="2" s="1"/>
  <c r="E66" i="2" l="1"/>
  <c r="D62" i="2" l="1"/>
  <c r="D63" i="2" l="1"/>
  <c r="D64" i="2" s="1"/>
  <c r="D66" i="2" l="1"/>
  <c r="F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Gokulanand Narayanan</author>
    <author>Arun</author>
    <author>Priya</author>
  </authors>
  <commentList>
    <comment ref="E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field will be automatically filled based on the above "E13" cell input.
</t>
        </r>
      </text>
    </comment>
    <comment ref="B2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Out-Of-Box max limit is '50' Business Transactions (Descriptors) for a given MSMT Period. BTM has two tests Business Transactions and Key Business Transactions, so total of '100'  descriptors per MSMT.
</t>
        </r>
      </text>
    </comment>
    <comment ref="E25" authorId="1" shapeId="0" xr:uid="{00000000-0006-0000-0000-000003000000}">
      <text>
        <r>
          <rPr>
            <sz val="10"/>
            <color indexed="81"/>
            <rFont val="Tahoma"/>
            <family val="2"/>
          </rPr>
          <t>If you want to capture the healthy transactions as part of DD select 'Yes'. Out-Of-Box the DD for healthy transactions is set to 'No'.
(Use the 'Yes' choice with caution since it will increase the DB storage utilization)</t>
        </r>
      </text>
    </comment>
    <comment ref="C33" authorId="1" shapeId="0" xr:uid="{00000000-0006-0000-0000-000004000000}">
      <text>
        <r>
          <rPr>
            <sz val="9"/>
            <color indexed="81"/>
            <rFont val="Tahoma"/>
            <family val="2"/>
          </rPr>
          <t>If 'All' is selected, the number of DD lines will equal page hits received for the entire day.
(Use the 'All' choice with caution since it will increase the DB storage utilization)</t>
        </r>
      </text>
    </comment>
    <comment ref="D33" authorId="1" shapeId="0" xr:uid="{00000000-0006-0000-0000-000005000000}">
      <text>
        <r>
          <rPr>
            <sz val="9"/>
            <color indexed="81"/>
            <rFont val="Tahoma"/>
            <family val="2"/>
          </rPr>
          <t>If 'All' is selected, the number of DD lines will equal page hits received for the entire day.
(Use the 'All' choice with caution since it will increase the DB storage utilization)</t>
        </r>
      </text>
    </comment>
    <comment ref="E39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This field will be automatically populated based on the value input in cell E16. 
</t>
        </r>
      </text>
    </comment>
  </commentList>
</comments>
</file>

<file path=xl/sharedStrings.xml><?xml version="1.0" encoding="utf-8"?>
<sst xmlns="http://schemas.openxmlformats.org/spreadsheetml/2006/main" count="143" uniqueCount="81">
  <si>
    <t>Resource</t>
  </si>
  <si>
    <t>Requirement</t>
  </si>
  <si>
    <t>Unit</t>
  </si>
  <si>
    <t>GB</t>
  </si>
  <si>
    <t>Retention Period (Days)</t>
  </si>
  <si>
    <t>Disk Space For</t>
  </si>
  <si>
    <t>GHz</t>
  </si>
  <si>
    <t>GB (at least)</t>
  </si>
  <si>
    <t>Monitors Required</t>
  </si>
  <si>
    <t>Number of Virtual Machines/Virtual Desktops in the infrastructure to be monitored (Required only if Virtualization monitoring is chosen)</t>
  </si>
  <si>
    <t>Application Monitoring (Database / Application Server / Web Server etc.), Storage Monitoring</t>
  </si>
  <si>
    <t>eG Database Byte Size</t>
  </si>
  <si>
    <t>Connections</t>
  </si>
  <si>
    <t>Network monitoring</t>
  </si>
  <si>
    <t>OS Monitoring  (Windows / Linux / HPUX / AIX  / Solaris servers / MS Print servers / MS File servers etc.)</t>
  </si>
  <si>
    <t>For Unified Monitoring</t>
  </si>
  <si>
    <t>Sizing Parameters</t>
  </si>
  <si>
    <t>Value</t>
  </si>
  <si>
    <t>Number</t>
  </si>
  <si>
    <t>Minutes</t>
  </si>
  <si>
    <t>Yes</t>
  </si>
  <si>
    <t>Yes/No</t>
  </si>
  <si>
    <t>Top N</t>
  </si>
  <si>
    <t>(Note: Typical Top N value would ranges from 1 to 100)</t>
  </si>
  <si>
    <t>All</t>
  </si>
  <si>
    <t>For Real User Monitor</t>
  </si>
  <si>
    <t>No</t>
  </si>
  <si>
    <t xml:space="preserve">Total Disk Space Required </t>
  </si>
  <si>
    <t>eG Enterprise Suite Sizing Calculator</t>
  </si>
  <si>
    <t>Hardware Requirements for eG Database</t>
  </si>
  <si>
    <t>Hardware Requirements for eG Manager</t>
  </si>
  <si>
    <t>Disk Space Requirements for eG Database</t>
  </si>
  <si>
    <t>Sizing Parameters For Real User Monitoring (Web)</t>
  </si>
  <si>
    <t>Enter   ===&gt;      1  -  for single byte
              ===&gt;      2  -  for double byte</t>
  </si>
  <si>
    <t>Ghz</t>
  </si>
  <si>
    <t>MB</t>
  </si>
  <si>
    <t>Mbits/Sec</t>
  </si>
  <si>
    <t>Hardware Requirements for eG RUM Agent</t>
  </si>
  <si>
    <t>Hardware Requirements for eG RUM Collector</t>
  </si>
  <si>
    <t>Enter Top N DD  here ===&gt;</t>
  </si>
  <si>
    <t xml:space="preserve">Sizing Parameters For Unified Monitoring </t>
  </si>
  <si>
    <t>Legend :</t>
  </si>
  <si>
    <t xml:space="preserve">User input fields </t>
  </si>
  <si>
    <t>Default parameters, only change if you have good reasons</t>
  </si>
  <si>
    <t>Note : RUM Collector and RUM Agent can coexist on same machine. In such cases manually add the hardware requirements given in the above tables.</t>
  </si>
  <si>
    <t>Total Monitoring Units Required</t>
  </si>
  <si>
    <t xml:space="preserve">  CPU</t>
  </si>
  <si>
    <t xml:space="preserve">  Heap</t>
  </si>
  <si>
    <t xml:space="preserve">  Memory (RAM) Required</t>
  </si>
  <si>
    <t xml:space="preserve">  DiskSpace</t>
  </si>
  <si>
    <t xml:space="preserve">  Bandwidth</t>
  </si>
  <si>
    <t xml:space="preserve">  Measurement Data</t>
  </si>
  <si>
    <t xml:space="preserve">  Hourly Trend Data</t>
  </si>
  <si>
    <t xml:space="preserve">  Daily Trend Data</t>
  </si>
  <si>
    <t xml:space="preserve">  Monthly Data</t>
  </si>
  <si>
    <t xml:space="preserve">  Detailed Diagnosis</t>
  </si>
  <si>
    <t xml:space="preserve">  Sub Total</t>
  </si>
  <si>
    <t xml:space="preserve">  Memory</t>
  </si>
  <si>
    <t xml:space="preserve">  Database Connections</t>
  </si>
  <si>
    <t xml:space="preserve">  Database IOPS (Avg)</t>
  </si>
  <si>
    <t xml:space="preserve">  Disk Space</t>
  </si>
  <si>
    <t xml:space="preserve">  Number of sites you want to monitor</t>
  </si>
  <si>
    <t xml:space="preserve">  Page Views per day (across all sites)</t>
  </si>
  <si>
    <r>
      <t xml:space="preserve">  Detailed Diagnosis Collection Mode
</t>
    </r>
    <r>
      <rPr>
        <i/>
        <sz val="11"/>
        <color theme="1"/>
        <rFont val="Calibri"/>
        <family val="2"/>
        <scheme val="minor"/>
      </rPr>
      <t xml:space="preserve">   (choose from this dropdown  ==&gt; )</t>
    </r>
  </si>
  <si>
    <t xml:space="preserve">  Measurement frequency (Polling frequency)</t>
  </si>
  <si>
    <t xml:space="preserve">  Capture Detailed Diagnosis for Healthy Transactions</t>
  </si>
  <si>
    <t>For Java/.Net Business Transaction Monitor</t>
  </si>
  <si>
    <t>Sizing Parameters For Business Transaction Monitoring (Java/.NET)</t>
  </si>
  <si>
    <t xml:space="preserve">  Number of JVMs/.NET CLRs to be monitored</t>
  </si>
  <si>
    <t xml:space="preserve">  Number of Unique Business Transactions (Grouped URLs) to be monitored per JVM/.NET CLR</t>
  </si>
  <si>
    <t>Number of Java/.NET Applications to be monitored (JVMs, .NET CLRs)</t>
  </si>
  <si>
    <t>Number of simulation endpoints</t>
  </si>
  <si>
    <t>Sizing Parameters For Synthetic Monitoring</t>
  </si>
  <si>
    <t>Number of applications/scenarios per end-point</t>
  </si>
  <si>
    <t>Number of simulation endpoints (Logon Simulation, Web App Simulation, Client Session Simulation)</t>
  </si>
  <si>
    <t>Standalone or Redundant Manager</t>
  </si>
  <si>
    <t>Application Virtualization such as Citrix XenApp, Horizon RDS, Microsoft RDS, Windows WVD, etc.</t>
  </si>
  <si>
    <t>Virtualization Monitoring (ESX / VDI / Citrix Hypervisor / LDoms / AIX Lpar / Hyper-V), VMware vCenter, HMC server, and Connection brokers (eg., Citrix DC, VMware Horizon, etc.)</t>
  </si>
  <si>
    <t>Max concurrent users logging in/accessing Citrix/VDI sites</t>
  </si>
  <si>
    <t>Number of admins, operations staff, helpdesk personnel etc. logged into the eG Enterprise console simultaneously</t>
  </si>
  <si>
    <t>Enter   ===&gt;     1  -  for standalone
              ===&gt;      2 for redundant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</si>
</sst>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i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wrapText="1"/>
    </xf>
    <xf numFmtId="0" fontId="0" fillId="3" borderId="0" xfId="0" applyFill="1" applyAlignment="1"/>
    <xf numFmtId="0" fontId="0" fillId="0" borderId="0" xfId="0"/>
    <xf numFmtId="0" fontId="6" fillId="0" borderId="1" xfId="0" applyFont="1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0" fillId="3" borderId="0" xfId="0" applyFill="1" applyAlignment="1" applyProtection="1"/>
    <xf numFmtId="0" fontId="0" fillId="5" borderId="1" xfId="0" applyFill="1" applyBorder="1" applyAlignment="1" applyProtection="1"/>
    <xf numFmtId="0" fontId="0" fillId="5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/>
    <xf numFmtId="0" fontId="10" fillId="3" borderId="0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right" wrapText="1"/>
    </xf>
    <xf numFmtId="0" fontId="1" fillId="0" borderId="1" xfId="0" applyFont="1" applyBorder="1" applyAlignment="1" applyProtection="1">
      <alignment horizontal="right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wrapText="1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</xf>
    <xf numFmtId="2" fontId="0" fillId="0" borderId="1" xfId="0" applyNumberFormat="1" applyFont="1" applyBorder="1" applyAlignment="1" applyProtection="1">
      <alignment horizontal="center" wrapText="1"/>
    </xf>
    <xf numFmtId="1" fontId="0" fillId="0" borderId="1" xfId="0" applyNumberFormat="1" applyFont="1" applyBorder="1" applyAlignment="1" applyProtection="1">
      <alignment horizontal="center" wrapText="1"/>
    </xf>
    <xf numFmtId="2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0" fillId="3" borderId="3" xfId="0" applyFill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4" fillId="5" borderId="1" xfId="0" applyFont="1" applyFill="1" applyBorder="1" applyAlignment="1" applyProtection="1">
      <alignment wrapText="1"/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horizontal="center"/>
    </xf>
    <xf numFmtId="0" fontId="12" fillId="3" borderId="0" xfId="0" applyFont="1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right"/>
    </xf>
    <xf numFmtId="0" fontId="11" fillId="3" borderId="4" xfId="0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 applyProtection="1">
      <alignment horizontal="right" vertical="center" wrapText="1"/>
    </xf>
    <xf numFmtId="0" fontId="0" fillId="3" borderId="3" xfId="0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6" borderId="5" xfId="0" applyFill="1" applyBorder="1" applyAlignment="1" applyProtection="1">
      <alignment horizontal="left" wrapText="1"/>
    </xf>
    <xf numFmtId="0" fontId="0" fillId="6" borderId="6" xfId="0" applyFill="1" applyBorder="1" applyAlignment="1" applyProtection="1">
      <alignment horizontal="left" wrapText="1"/>
    </xf>
    <xf numFmtId="0" fontId="0" fillId="0" borderId="5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left" wrapText="1"/>
    </xf>
    <xf numFmtId="0" fontId="0" fillId="0" borderId="6" xfId="0" applyFont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kulanand/Desktop/Demo%20to%20US%20team/Sizing%20Calculator/RUM_Sizing_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 Calculator"/>
      <sheetName val="Sheet1"/>
    </sheetNames>
    <sheetDataSet>
      <sheetData sheetId="0" refreshError="1"/>
      <sheetData sheetId="1">
        <row r="1">
          <cell r="A1" t="str">
            <v>All</v>
          </cell>
        </row>
        <row r="2">
          <cell r="A2" t="str">
            <v>Top 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89"/>
  <sheetViews>
    <sheetView tabSelected="1" topLeftCell="A4" zoomScaleNormal="100" workbookViewId="0">
      <selection activeCell="B13" sqref="B13:D13"/>
    </sheetView>
  </sheetViews>
  <sheetFormatPr defaultColWidth="0" defaultRowHeight="15" zeroHeight="1" x14ac:dyDescent="0.25"/>
  <cols>
    <col min="1" max="1" width="16.42578125" style="11" customWidth="1"/>
    <col min="2" max="2" width="34" style="30" customWidth="1"/>
    <col min="3" max="3" width="18" style="30" customWidth="1"/>
    <col min="4" max="4" width="38" style="30" customWidth="1"/>
    <col min="5" max="5" width="20.5703125" customWidth="1"/>
    <col min="6" max="6" width="18.5703125" customWidth="1"/>
    <col min="7" max="7" width="16.7109375" customWidth="1"/>
    <col min="8" max="8" width="19.42578125" style="18" customWidth="1"/>
    <col min="9" max="12" width="9.140625" hidden="1" customWidth="1"/>
    <col min="16384" max="16384" width="9.5703125" hidden="1" customWidth="1"/>
  </cols>
  <sheetData>
    <row r="1" spans="1:8" ht="14.25" customHeight="1" x14ac:dyDescent="0.25">
      <c r="A1" s="49"/>
      <c r="B1" s="49"/>
      <c r="C1" s="49"/>
      <c r="D1" s="49"/>
      <c r="E1" s="49"/>
      <c r="F1" s="49"/>
      <c r="G1" s="49"/>
      <c r="H1" s="49"/>
    </row>
    <row r="2" spans="1:8" ht="15" hidden="1" customHeight="1" x14ac:dyDescent="0.25">
      <c r="A2" s="49"/>
      <c r="B2" s="56"/>
      <c r="C2" s="56"/>
      <c r="D2" s="56"/>
      <c r="E2" s="56"/>
      <c r="F2" s="56"/>
      <c r="G2" s="56"/>
      <c r="H2" s="49"/>
    </row>
    <row r="3" spans="1:8" ht="15" customHeight="1" x14ac:dyDescent="0.25">
      <c r="A3" s="49"/>
      <c r="B3" s="63" t="s">
        <v>28</v>
      </c>
      <c r="C3" s="63"/>
      <c r="D3" s="63"/>
      <c r="E3" s="63"/>
      <c r="F3" s="63"/>
      <c r="G3" s="63"/>
      <c r="H3" s="49"/>
    </row>
    <row r="4" spans="1:8" x14ac:dyDescent="0.25">
      <c r="A4" s="49"/>
      <c r="B4" s="63"/>
      <c r="C4" s="63"/>
      <c r="D4" s="63"/>
      <c r="E4" s="63"/>
      <c r="F4" s="63"/>
      <c r="G4" s="63"/>
      <c r="H4" s="49"/>
    </row>
    <row r="5" spans="1:8" s="12" customFormat="1" ht="15.75" x14ac:dyDescent="0.25">
      <c r="A5" s="49"/>
      <c r="B5" s="22"/>
      <c r="C5" s="54" t="s">
        <v>41</v>
      </c>
      <c r="D5" s="53" t="s">
        <v>42</v>
      </c>
      <c r="E5" s="53"/>
      <c r="F5" s="53"/>
      <c r="G5" s="21"/>
      <c r="H5" s="49"/>
    </row>
    <row r="6" spans="1:8" ht="15.75" x14ac:dyDescent="0.25">
      <c r="A6" s="49"/>
      <c r="B6" s="22"/>
      <c r="C6" s="55"/>
      <c r="D6" s="53" t="s">
        <v>43</v>
      </c>
      <c r="E6" s="53"/>
      <c r="F6" s="53"/>
      <c r="G6" s="19"/>
      <c r="H6" s="49"/>
    </row>
    <row r="7" spans="1:8" ht="21" x14ac:dyDescent="0.25">
      <c r="A7" s="49"/>
      <c r="B7" s="64" t="s">
        <v>40</v>
      </c>
      <c r="C7" s="64"/>
      <c r="D7" s="64"/>
      <c r="E7" s="64"/>
      <c r="F7" s="64"/>
      <c r="G7" s="64"/>
      <c r="H7" s="49"/>
    </row>
    <row r="8" spans="1:8" s="2" customFormat="1" x14ac:dyDescent="0.25">
      <c r="A8" s="49"/>
      <c r="B8" s="68" t="s">
        <v>8</v>
      </c>
      <c r="C8" s="68"/>
      <c r="D8" s="68"/>
      <c r="E8" s="17" t="s">
        <v>17</v>
      </c>
      <c r="F8" s="17" t="s">
        <v>2</v>
      </c>
      <c r="G8" s="6"/>
      <c r="H8" s="49"/>
    </row>
    <row r="9" spans="1:8" ht="31.5" customHeight="1" x14ac:dyDescent="0.25">
      <c r="A9" s="49"/>
      <c r="B9" s="62" t="s">
        <v>77</v>
      </c>
      <c r="C9" s="62"/>
      <c r="D9" s="62"/>
      <c r="E9" s="32">
        <v>10</v>
      </c>
      <c r="F9" s="7" t="s">
        <v>18</v>
      </c>
      <c r="G9" s="6"/>
      <c r="H9" s="49"/>
    </row>
    <row r="10" spans="1:8" ht="30.75" customHeight="1" x14ac:dyDescent="0.25">
      <c r="A10" s="49"/>
      <c r="B10" s="62" t="s">
        <v>9</v>
      </c>
      <c r="C10" s="62"/>
      <c r="D10" s="62"/>
      <c r="E10" s="32">
        <v>100</v>
      </c>
      <c r="F10" s="7" t="s">
        <v>18</v>
      </c>
      <c r="G10" s="6"/>
      <c r="H10" s="49"/>
    </row>
    <row r="11" spans="1:8" x14ac:dyDescent="0.25">
      <c r="A11" s="49"/>
      <c r="B11" s="62" t="s">
        <v>76</v>
      </c>
      <c r="C11" s="62"/>
      <c r="D11" s="62"/>
      <c r="E11" s="32">
        <v>0</v>
      </c>
      <c r="F11" s="7" t="s">
        <v>18</v>
      </c>
      <c r="G11" s="6"/>
      <c r="H11" s="49"/>
    </row>
    <row r="12" spans="1:8" s="12" customFormat="1" x14ac:dyDescent="0.25">
      <c r="A12" s="49"/>
      <c r="B12" s="77" t="s">
        <v>78</v>
      </c>
      <c r="C12" s="78"/>
      <c r="D12" s="79"/>
      <c r="E12" s="32">
        <v>0</v>
      </c>
      <c r="F12" s="46" t="s">
        <v>18</v>
      </c>
      <c r="G12" s="6"/>
      <c r="H12" s="49"/>
    </row>
    <row r="13" spans="1:8" x14ac:dyDescent="0.25">
      <c r="A13" s="49"/>
      <c r="B13" s="62" t="s">
        <v>10</v>
      </c>
      <c r="C13" s="62"/>
      <c r="D13" s="62"/>
      <c r="E13" s="32">
        <v>64</v>
      </c>
      <c r="F13" s="7" t="s">
        <v>18</v>
      </c>
      <c r="G13" s="6"/>
      <c r="H13" s="49"/>
    </row>
    <row r="14" spans="1:8" s="12" customFormat="1" x14ac:dyDescent="0.25">
      <c r="A14" s="49"/>
      <c r="B14" s="73" t="s">
        <v>70</v>
      </c>
      <c r="C14" s="74"/>
      <c r="D14" s="75"/>
      <c r="E14" s="32">
        <v>10</v>
      </c>
      <c r="F14" s="7" t="s">
        <v>18</v>
      </c>
      <c r="G14" s="6"/>
      <c r="H14" s="49"/>
    </row>
    <row r="15" spans="1:8" ht="29.25" customHeight="1" x14ac:dyDescent="0.25">
      <c r="A15" s="49"/>
      <c r="B15" s="62" t="s">
        <v>14</v>
      </c>
      <c r="C15" s="62"/>
      <c r="D15" s="62"/>
      <c r="E15" s="32">
        <v>27</v>
      </c>
      <c r="F15" s="7" t="s">
        <v>18</v>
      </c>
      <c r="G15" s="6"/>
      <c r="H15" s="49"/>
    </row>
    <row r="16" spans="1:8" s="12" customFormat="1" ht="29.25" customHeight="1" x14ac:dyDescent="0.25">
      <c r="A16" s="49"/>
      <c r="B16" s="62" t="s">
        <v>13</v>
      </c>
      <c r="C16" s="62"/>
      <c r="D16" s="62"/>
      <c r="E16" s="32">
        <v>112</v>
      </c>
      <c r="F16" s="7" t="s">
        <v>18</v>
      </c>
      <c r="G16" s="6"/>
      <c r="H16" s="49"/>
    </row>
    <row r="17" spans="1:8" x14ac:dyDescent="0.25">
      <c r="A17" s="49"/>
      <c r="B17" s="62" t="s">
        <v>74</v>
      </c>
      <c r="C17" s="62"/>
      <c r="D17" s="62"/>
      <c r="E17" s="32">
        <v>1</v>
      </c>
      <c r="F17" s="7" t="s">
        <v>18</v>
      </c>
      <c r="G17" s="6"/>
      <c r="H17" s="49"/>
    </row>
    <row r="18" spans="1:8" s="2" customFormat="1" ht="15.75" x14ac:dyDescent="0.25">
      <c r="A18" s="49"/>
      <c r="B18" s="76" t="s">
        <v>45</v>
      </c>
      <c r="C18" s="76"/>
      <c r="D18" s="76"/>
      <c r="E18" s="9">
        <f>((E9*2.1)+(E10*0.26)+(E11*2.1)+(E13*1.05)+(E14*1.6)+(E15*0.26)+(E16*0.2)+(E17*1.05)+ROUND(E12/100,0)*2)</f>
        <v>160.67000000000002</v>
      </c>
      <c r="F18" s="9" t="s">
        <v>18</v>
      </c>
      <c r="G18" s="9"/>
      <c r="H18" s="49"/>
    </row>
    <row r="19" spans="1:8" s="2" customFormat="1" x14ac:dyDescent="0.25">
      <c r="A19" s="49"/>
      <c r="B19" s="65"/>
      <c r="C19" s="65"/>
      <c r="D19" s="65"/>
      <c r="E19" s="65"/>
      <c r="F19" s="65"/>
      <c r="G19" s="65"/>
      <c r="H19" s="49"/>
    </row>
    <row r="20" spans="1:8" ht="21" x14ac:dyDescent="0.25">
      <c r="A20" s="49"/>
      <c r="B20" s="64" t="s">
        <v>67</v>
      </c>
      <c r="C20" s="64"/>
      <c r="D20" s="64"/>
      <c r="E20" s="64"/>
      <c r="F20" s="64"/>
      <c r="G20" s="64"/>
      <c r="H20" s="49"/>
    </row>
    <row r="21" spans="1:8" ht="15.75" customHeight="1" x14ac:dyDescent="0.25">
      <c r="A21" s="49"/>
      <c r="B21" s="68" t="s">
        <v>16</v>
      </c>
      <c r="C21" s="68"/>
      <c r="D21" s="68"/>
      <c r="E21" s="17" t="s">
        <v>17</v>
      </c>
      <c r="F21" s="17" t="s">
        <v>2</v>
      </c>
      <c r="G21" s="6"/>
      <c r="H21" s="49"/>
    </row>
    <row r="22" spans="1:8" ht="15.75" customHeight="1" x14ac:dyDescent="0.25">
      <c r="A22" s="49"/>
      <c r="B22" s="62" t="s">
        <v>68</v>
      </c>
      <c r="C22" s="62"/>
      <c r="D22" s="62"/>
      <c r="E22" s="33">
        <f>IF(E14&gt;0,E14,0)</f>
        <v>10</v>
      </c>
      <c r="F22" s="34" t="s">
        <v>18</v>
      </c>
      <c r="G22" s="6"/>
      <c r="H22" s="49"/>
    </row>
    <row r="23" spans="1:8" ht="15.75" customHeight="1" x14ac:dyDescent="0.25">
      <c r="A23" s="49"/>
      <c r="B23" s="62" t="s">
        <v>69</v>
      </c>
      <c r="C23" s="62"/>
      <c r="D23" s="62"/>
      <c r="E23" s="32">
        <v>20</v>
      </c>
      <c r="F23" s="34" t="s">
        <v>18</v>
      </c>
      <c r="G23" s="6"/>
      <c r="H23" s="49"/>
    </row>
    <row r="24" spans="1:8" ht="15.75" customHeight="1" x14ac:dyDescent="0.25">
      <c r="A24" s="49"/>
      <c r="B24" s="62" t="s">
        <v>64</v>
      </c>
      <c r="C24" s="62"/>
      <c r="D24" s="62"/>
      <c r="E24" s="35">
        <v>3</v>
      </c>
      <c r="F24" s="34" t="s">
        <v>19</v>
      </c>
      <c r="G24" s="6"/>
      <c r="H24" s="49"/>
    </row>
    <row r="25" spans="1:8" ht="15.75" customHeight="1" x14ac:dyDescent="0.25">
      <c r="A25" s="49"/>
      <c r="B25" s="62" t="s">
        <v>65</v>
      </c>
      <c r="C25" s="62"/>
      <c r="D25" s="62"/>
      <c r="E25" s="28" t="s">
        <v>26</v>
      </c>
      <c r="F25" s="34" t="s">
        <v>21</v>
      </c>
      <c r="G25" s="6"/>
      <c r="H25" s="49"/>
    </row>
    <row r="26" spans="1:8" ht="15.75" customHeight="1" x14ac:dyDescent="0.25">
      <c r="A26" s="49"/>
      <c r="B26" s="66"/>
      <c r="C26" s="66"/>
      <c r="D26" s="15" t="s">
        <v>39</v>
      </c>
      <c r="E26" s="36">
        <v>10</v>
      </c>
      <c r="F26" s="34" t="s">
        <v>18</v>
      </c>
      <c r="G26" s="6"/>
      <c r="H26" s="49"/>
    </row>
    <row r="27" spans="1:8" ht="15.75" customHeight="1" x14ac:dyDescent="0.25">
      <c r="A27" s="49"/>
      <c r="B27" s="67"/>
      <c r="C27" s="67"/>
      <c r="D27" s="80" t="s">
        <v>23</v>
      </c>
      <c r="E27" s="80"/>
      <c r="F27" s="80"/>
      <c r="G27" s="6"/>
      <c r="H27" s="49"/>
    </row>
    <row r="28" spans="1:8" ht="15.75" customHeight="1" x14ac:dyDescent="0.25">
      <c r="A28" s="49"/>
      <c r="B28" s="67"/>
      <c r="C28" s="67"/>
      <c r="D28" s="51"/>
      <c r="E28" s="51"/>
      <c r="F28" s="51"/>
      <c r="G28" s="51"/>
      <c r="H28" s="49"/>
    </row>
    <row r="29" spans="1:8" ht="21" x14ac:dyDescent="0.25">
      <c r="A29" s="49"/>
      <c r="B29" s="64" t="s">
        <v>32</v>
      </c>
      <c r="C29" s="64"/>
      <c r="D29" s="64"/>
      <c r="E29" s="64"/>
      <c r="F29" s="64"/>
      <c r="G29" s="64"/>
      <c r="H29" s="49"/>
    </row>
    <row r="30" spans="1:8" x14ac:dyDescent="0.25">
      <c r="A30" s="49"/>
      <c r="B30" s="68" t="s">
        <v>16</v>
      </c>
      <c r="C30" s="68"/>
      <c r="D30" s="68"/>
      <c r="E30" s="17" t="s">
        <v>17</v>
      </c>
      <c r="F30" s="17" t="s">
        <v>2</v>
      </c>
      <c r="G30" s="6"/>
      <c r="H30" s="49"/>
    </row>
    <row r="31" spans="1:8" x14ac:dyDescent="0.25">
      <c r="A31" s="49"/>
      <c r="B31" s="62" t="s">
        <v>61</v>
      </c>
      <c r="C31" s="62"/>
      <c r="D31" s="62"/>
      <c r="E31" s="32">
        <v>0</v>
      </c>
      <c r="F31" s="34" t="s">
        <v>18</v>
      </c>
      <c r="G31" s="6"/>
      <c r="H31" s="49"/>
    </row>
    <row r="32" spans="1:8" x14ac:dyDescent="0.25">
      <c r="A32" s="49"/>
      <c r="B32" s="62" t="s">
        <v>62</v>
      </c>
      <c r="C32" s="62"/>
      <c r="D32" s="62"/>
      <c r="E32" s="32">
        <v>2000000</v>
      </c>
      <c r="F32" s="34" t="s">
        <v>18</v>
      </c>
      <c r="G32" s="6"/>
      <c r="H32" s="49"/>
    </row>
    <row r="33" spans="1:8" ht="30.75" customHeight="1" x14ac:dyDescent="0.25">
      <c r="A33" s="49"/>
      <c r="B33" s="10" t="s">
        <v>63</v>
      </c>
      <c r="C33" s="20" t="s">
        <v>22</v>
      </c>
      <c r="D33" s="13" t="str">
        <f>IF(C33="All","Number of DD Lines", "")</f>
        <v/>
      </c>
      <c r="E33" s="34" t="str">
        <f>IF(D33="Number of DD Lines",E32,"")</f>
        <v/>
      </c>
      <c r="F33" s="34" t="str">
        <f>IF(D33="Number of DD Lines","Number","")</f>
        <v/>
      </c>
      <c r="G33" s="6"/>
      <c r="H33" s="49"/>
    </row>
    <row r="34" spans="1:8" x14ac:dyDescent="0.25">
      <c r="A34" s="49"/>
      <c r="B34" s="42"/>
      <c r="C34" s="42"/>
      <c r="D34" s="15" t="str">
        <f>IF(C33="All","","Enter Top N here ==&gt;")</f>
        <v>Enter Top N here ==&gt;</v>
      </c>
      <c r="E34" s="35">
        <v>10</v>
      </c>
      <c r="F34" s="34" t="str">
        <f>IF(D34&lt;&gt;"","Number", "")</f>
        <v>Number</v>
      </c>
      <c r="G34" s="6"/>
      <c r="H34" s="49"/>
    </row>
    <row r="35" spans="1:8" x14ac:dyDescent="0.25">
      <c r="A35" s="49"/>
      <c r="B35" s="43"/>
      <c r="C35" s="43"/>
      <c r="D35" s="80" t="s">
        <v>23</v>
      </c>
      <c r="E35" s="80"/>
      <c r="F35" s="80"/>
      <c r="G35" s="6"/>
      <c r="H35" s="49"/>
    </row>
    <row r="36" spans="1:8" s="12" customFormat="1" x14ac:dyDescent="0.25">
      <c r="A36" s="49"/>
      <c r="B36" s="43"/>
      <c r="C36" s="43"/>
      <c r="D36" s="43"/>
      <c r="E36" s="43"/>
      <c r="F36" s="43"/>
      <c r="G36" s="43"/>
      <c r="H36" s="49"/>
    </row>
    <row r="37" spans="1:8" s="12" customFormat="1" ht="21" x14ac:dyDescent="0.25">
      <c r="A37" s="49"/>
      <c r="B37" s="64" t="s">
        <v>72</v>
      </c>
      <c r="C37" s="64"/>
      <c r="D37" s="64"/>
      <c r="E37" s="64"/>
      <c r="F37" s="64"/>
      <c r="G37" s="64"/>
      <c r="H37" s="49"/>
    </row>
    <row r="38" spans="1:8" s="12" customFormat="1" x14ac:dyDescent="0.25">
      <c r="A38" s="49"/>
      <c r="B38" s="68" t="s">
        <v>16</v>
      </c>
      <c r="C38" s="68"/>
      <c r="D38" s="68"/>
      <c r="E38" s="17" t="s">
        <v>17</v>
      </c>
      <c r="F38" s="17" t="s">
        <v>2</v>
      </c>
      <c r="G38" s="6"/>
      <c r="H38" s="49"/>
    </row>
    <row r="39" spans="1:8" s="12" customFormat="1" x14ac:dyDescent="0.25">
      <c r="A39" s="49"/>
      <c r="B39" s="62" t="s">
        <v>71</v>
      </c>
      <c r="C39" s="62"/>
      <c r="D39" s="62"/>
      <c r="E39" s="8">
        <f>IF(E17&gt;0,E17,0)</f>
        <v>1</v>
      </c>
      <c r="F39" s="8" t="s">
        <v>18</v>
      </c>
      <c r="G39" s="6"/>
      <c r="H39" s="49"/>
    </row>
    <row r="40" spans="1:8" s="12" customFormat="1" x14ac:dyDescent="0.25">
      <c r="A40" s="49"/>
      <c r="B40" s="62" t="s">
        <v>73</v>
      </c>
      <c r="C40" s="62"/>
      <c r="D40" s="62"/>
      <c r="E40" s="45">
        <v>10</v>
      </c>
      <c r="F40" s="8" t="s">
        <v>18</v>
      </c>
      <c r="G40" s="6"/>
      <c r="H40" s="49"/>
    </row>
    <row r="41" spans="1:8" x14ac:dyDescent="0.25">
      <c r="A41" s="49"/>
      <c r="B41" s="44"/>
      <c r="C41" s="44"/>
      <c r="D41" s="43"/>
      <c r="E41" s="43"/>
      <c r="F41" s="43"/>
      <c r="G41" s="43"/>
      <c r="H41" s="49"/>
    </row>
    <row r="42" spans="1:8" ht="30" customHeight="1" x14ac:dyDescent="0.25">
      <c r="A42" s="49"/>
      <c r="B42" s="81" t="s">
        <v>11</v>
      </c>
      <c r="C42" s="81"/>
      <c r="D42" s="47">
        <v>1</v>
      </c>
      <c r="E42" s="71" t="s">
        <v>33</v>
      </c>
      <c r="F42" s="72"/>
      <c r="G42" s="6"/>
      <c r="H42" s="49"/>
    </row>
    <row r="43" spans="1:8" s="12" customFormat="1" ht="30" customHeight="1" x14ac:dyDescent="0.25">
      <c r="A43" s="49"/>
      <c r="B43" s="82" t="s">
        <v>75</v>
      </c>
      <c r="C43" s="83"/>
      <c r="D43" s="48">
        <v>2</v>
      </c>
      <c r="E43" s="71" t="s">
        <v>80</v>
      </c>
      <c r="F43" s="72"/>
      <c r="G43" s="6"/>
      <c r="H43" s="49"/>
    </row>
    <row r="44" spans="1:8" s="12" customFormat="1" ht="30" customHeight="1" x14ac:dyDescent="0.25">
      <c r="A44" s="49"/>
      <c r="B44" s="69" t="s">
        <v>79</v>
      </c>
      <c r="C44" s="70"/>
      <c r="D44" s="48">
        <v>10</v>
      </c>
      <c r="E44" s="71"/>
      <c r="F44" s="72"/>
      <c r="G44" s="6"/>
      <c r="H44" s="49"/>
    </row>
    <row r="45" spans="1:8" ht="15" customHeight="1" x14ac:dyDescent="0.25">
      <c r="A45" s="49"/>
      <c r="B45" s="60"/>
      <c r="C45" s="60"/>
      <c r="D45" s="60"/>
      <c r="E45" s="60"/>
      <c r="F45" s="60"/>
      <c r="G45" s="60"/>
      <c r="H45" s="49"/>
    </row>
    <row r="46" spans="1:8" ht="21" customHeight="1" x14ac:dyDescent="0.25">
      <c r="A46" s="49"/>
      <c r="B46" s="57" t="s">
        <v>30</v>
      </c>
      <c r="C46" s="58"/>
      <c r="D46" s="58"/>
      <c r="E46" s="58"/>
      <c r="F46" s="58"/>
      <c r="G46" s="59"/>
      <c r="H46" s="49"/>
    </row>
    <row r="47" spans="1:8" ht="15" customHeight="1" x14ac:dyDescent="0.25">
      <c r="A47" s="49"/>
      <c r="B47" s="23" t="s">
        <v>0</v>
      </c>
      <c r="C47" s="24"/>
      <c r="D47" s="31" t="s">
        <v>1</v>
      </c>
      <c r="E47" s="17" t="s">
        <v>2</v>
      </c>
      <c r="F47" s="6"/>
      <c r="G47" s="6"/>
      <c r="H47" s="49"/>
    </row>
    <row r="48" spans="1:8" x14ac:dyDescent="0.25">
      <c r="A48" s="49"/>
      <c r="B48" s="10" t="s">
        <v>46</v>
      </c>
      <c r="C48" s="24"/>
      <c r="D48" s="37">
        <f>ROUND((((E18*0.01)+2)+MAX(0,(D44-10)/10)*2.5)*(1+(40/100*(D43-1))),2)</f>
        <v>5.05</v>
      </c>
      <c r="E48" s="8" t="s">
        <v>6</v>
      </c>
      <c r="F48" s="6"/>
      <c r="G48" s="6"/>
      <c r="H48" s="49"/>
    </row>
    <row r="49" spans="1:12" x14ac:dyDescent="0.25">
      <c r="A49" s="49"/>
      <c r="B49" s="10" t="s">
        <v>57</v>
      </c>
      <c r="C49" s="15"/>
      <c r="D49" s="38">
        <f>ROUND(((6+(0.0049*E18))+MAX(0,(D44-10)/10)*4)*(1+20/100*(D43-1)),2)</f>
        <v>8.14</v>
      </c>
      <c r="E49" s="8" t="s">
        <v>3</v>
      </c>
      <c r="F49" s="14"/>
      <c r="G49" s="14"/>
      <c r="H49" s="49"/>
    </row>
    <row r="50" spans="1:12" x14ac:dyDescent="0.25">
      <c r="A50" s="49"/>
      <c r="B50" s="10" t="s">
        <v>60</v>
      </c>
      <c r="C50" s="15"/>
      <c r="D50" s="38">
        <f>100 +((25*(E39*E40))/1024)</f>
        <v>100.244140625</v>
      </c>
      <c r="E50" s="8" t="s">
        <v>7</v>
      </c>
      <c r="F50" s="14"/>
      <c r="G50" s="14"/>
      <c r="H50" s="49"/>
    </row>
    <row r="51" spans="1:12" x14ac:dyDescent="0.25">
      <c r="A51" s="49"/>
      <c r="B51" s="60"/>
      <c r="C51" s="60"/>
      <c r="D51" s="60"/>
      <c r="E51" s="60"/>
      <c r="F51" s="60"/>
      <c r="G51" s="60"/>
      <c r="H51" s="49"/>
    </row>
    <row r="52" spans="1:12" ht="21" x14ac:dyDescent="0.25">
      <c r="A52" s="49"/>
      <c r="B52" s="57" t="s">
        <v>29</v>
      </c>
      <c r="C52" s="58"/>
      <c r="D52" s="58"/>
      <c r="E52" s="58"/>
      <c r="F52" s="58"/>
      <c r="G52" s="59"/>
      <c r="H52" s="49"/>
    </row>
    <row r="53" spans="1:12" s="1" customFormat="1" ht="15" customHeight="1" x14ac:dyDescent="0.25">
      <c r="A53" s="49"/>
      <c r="B53" s="23" t="s">
        <v>0</v>
      </c>
      <c r="C53" s="25"/>
      <c r="D53" s="26" t="s">
        <v>1</v>
      </c>
      <c r="E53" s="17" t="s">
        <v>2</v>
      </c>
      <c r="F53" s="6"/>
      <c r="G53" s="6"/>
      <c r="H53" s="49"/>
      <c r="I53"/>
      <c r="J53"/>
      <c r="K53"/>
      <c r="L53"/>
    </row>
    <row r="54" spans="1:12" s="3" customFormat="1" x14ac:dyDescent="0.25">
      <c r="A54" s="49"/>
      <c r="B54" s="10" t="s">
        <v>46</v>
      </c>
      <c r="C54" s="24"/>
      <c r="D54" s="37">
        <f>ROUND(((E18*0.01)+3)+MAX(0,(D44-10)/10)*2.5,2)</f>
        <v>4.6100000000000003</v>
      </c>
      <c r="E54" s="8" t="s">
        <v>6</v>
      </c>
      <c r="F54" s="6"/>
      <c r="G54" s="6"/>
      <c r="H54" s="49"/>
    </row>
    <row r="55" spans="1:12" x14ac:dyDescent="0.25">
      <c r="A55" s="49"/>
      <c r="B55" s="10" t="s">
        <v>57</v>
      </c>
      <c r="C55" s="27"/>
      <c r="D55" s="38">
        <f>ROUND((4+(0.0049*E18))+MAX(0,(D44-10)/10)*4,2)</f>
        <v>4.79</v>
      </c>
      <c r="E55" s="8" t="s">
        <v>3</v>
      </c>
      <c r="F55" s="14"/>
      <c r="G55" s="14"/>
      <c r="H55" s="49"/>
    </row>
    <row r="56" spans="1:12" x14ac:dyDescent="0.25">
      <c r="A56" s="49"/>
      <c r="B56" s="10" t="s">
        <v>58</v>
      </c>
      <c r="C56" s="27"/>
      <c r="D56" s="38">
        <f>ROUND((10+(E18/6))*(1+MAX(0,(D44-10)/30)),2)</f>
        <v>36.78</v>
      </c>
      <c r="E56" s="8" t="s">
        <v>12</v>
      </c>
      <c r="F56" s="14"/>
      <c r="G56" s="14"/>
      <c r="H56" s="49"/>
    </row>
    <row r="57" spans="1:12" x14ac:dyDescent="0.25">
      <c r="A57" s="49"/>
      <c r="B57" s="10" t="s">
        <v>59</v>
      </c>
      <c r="C57" s="27"/>
      <c r="D57" s="39">
        <f>ROUND((E9*20+E11*20+E10*5+E13*10+E15*5+E16*5)*(1+MAX(0,(D44-10)/30)),2)</f>
        <v>2035</v>
      </c>
      <c r="E57" s="17"/>
      <c r="F57" s="14"/>
      <c r="G57" s="14"/>
      <c r="H57" s="49"/>
    </row>
    <row r="58" spans="1:12" x14ac:dyDescent="0.25">
      <c r="A58" s="49"/>
      <c r="B58" s="61"/>
      <c r="C58" s="61"/>
      <c r="D58" s="61"/>
      <c r="E58" s="61"/>
      <c r="F58" s="61"/>
      <c r="G58" s="61"/>
      <c r="H58" s="49"/>
    </row>
    <row r="59" spans="1:12" s="4" customFormat="1" ht="21" x14ac:dyDescent="0.25">
      <c r="A59" s="49"/>
      <c r="B59" s="57" t="s">
        <v>31</v>
      </c>
      <c r="C59" s="58"/>
      <c r="D59" s="58"/>
      <c r="E59" s="58"/>
      <c r="F59" s="58"/>
      <c r="G59" s="59"/>
      <c r="H59" s="49"/>
    </row>
    <row r="60" spans="1:12" ht="63" x14ac:dyDescent="0.25">
      <c r="A60" s="49"/>
      <c r="B60" s="16" t="s">
        <v>5</v>
      </c>
      <c r="C60" s="16" t="s">
        <v>4</v>
      </c>
      <c r="D60" s="16" t="s">
        <v>15</v>
      </c>
      <c r="E60" s="16" t="s">
        <v>66</v>
      </c>
      <c r="F60" s="16" t="s">
        <v>25</v>
      </c>
      <c r="G60" s="16" t="s">
        <v>2</v>
      </c>
      <c r="H60" s="49"/>
    </row>
    <row r="61" spans="1:12" x14ac:dyDescent="0.25">
      <c r="A61" s="49"/>
      <c r="B61" s="10" t="s">
        <v>51</v>
      </c>
      <c r="C61" s="28">
        <v>42</v>
      </c>
      <c r="D61" s="40">
        <f>0.5*E18*C61/30*D42</f>
        <v>112.46900000000001</v>
      </c>
      <c r="E61" s="7">
        <f>ROUNDUP(E22*E23*D42*C61*(60/E24*24)*0.0009/1000,2)</f>
        <v>3.63</v>
      </c>
      <c r="F61" s="7">
        <f>ROUNDUP(E31*C61/30*D42,2)</f>
        <v>0</v>
      </c>
      <c r="G61" s="7" t="s">
        <v>3</v>
      </c>
      <c r="H61" s="49"/>
    </row>
    <row r="62" spans="1:12" x14ac:dyDescent="0.25">
      <c r="A62" s="49"/>
      <c r="B62" s="10" t="s">
        <v>52</v>
      </c>
      <c r="C62" s="29">
        <v>84</v>
      </c>
      <c r="D62" s="40">
        <f>D61/6*C62/C61</f>
        <v>37.489666666666672</v>
      </c>
      <c r="E62" s="7">
        <f>ROUNDUP(E61/6*C62/C61,2)</f>
        <v>1.21</v>
      </c>
      <c r="F62" s="7">
        <f>ROUNDUP(F61/6*C62/C61,2)</f>
        <v>0</v>
      </c>
      <c r="G62" s="7" t="s">
        <v>3</v>
      </c>
      <c r="H62" s="49"/>
    </row>
    <row r="63" spans="1:12" x14ac:dyDescent="0.25">
      <c r="A63" s="49"/>
      <c r="B63" s="10" t="s">
        <v>53</v>
      </c>
      <c r="C63" s="29">
        <v>126</v>
      </c>
      <c r="D63" s="40">
        <f>D62/144*C63/C61</f>
        <v>0.78103472222222237</v>
      </c>
      <c r="E63" s="7">
        <f>ROUNDUP(E62/144*C63/C61,2)</f>
        <v>0.03</v>
      </c>
      <c r="F63" s="7">
        <f>ROUNDUP(F62/144*C63/C61,2)</f>
        <v>0</v>
      </c>
      <c r="G63" s="7" t="s">
        <v>3</v>
      </c>
      <c r="H63" s="49"/>
    </row>
    <row r="64" spans="1:12" x14ac:dyDescent="0.25">
      <c r="A64" s="49"/>
      <c r="B64" s="10" t="s">
        <v>54</v>
      </c>
      <c r="C64" s="29">
        <v>365</v>
      </c>
      <c r="D64" s="40">
        <f>MAX(0.1,D63/4320*C64/C61)</f>
        <v>0.1</v>
      </c>
      <c r="E64" s="7">
        <f>MAX(0.1,E63/4320*C64/C61)*IF(E22=0,0,1)</f>
        <v>0.1</v>
      </c>
      <c r="F64" s="7">
        <f>MAX(0.1,F63/4320*C64/C61)*IF(E31=0,0,1)</f>
        <v>0</v>
      </c>
      <c r="G64" s="7" t="s">
        <v>3</v>
      </c>
      <c r="H64" s="49"/>
    </row>
    <row r="65" spans="1:8" x14ac:dyDescent="0.25">
      <c r="A65" s="49"/>
      <c r="B65" s="10" t="s">
        <v>55</v>
      </c>
      <c r="C65" s="29">
        <v>7</v>
      </c>
      <c r="D65" s="40">
        <f>(D61/4*C65/C61)*1.05</f>
        <v>4.9205187500000003</v>
      </c>
      <c r="E65" s="7">
        <f>ROUNDUP(E22*E23*((60/E24*24)/100*IF(E25="Yes",150/10*E26,50/10*E26))*D42*C65*(0.05/1000),2)</f>
        <v>16.8</v>
      </c>
      <c r="F65" s="7">
        <f>ROUNDUP((IF(C33="ALL",E33,(E34*3*288))/1000000)*C65*D42,2)*IF(E31=0,0,1)</f>
        <v>0</v>
      </c>
      <c r="G65" s="8" t="s">
        <v>3</v>
      </c>
      <c r="H65" s="49"/>
    </row>
    <row r="66" spans="1:8" x14ac:dyDescent="0.25">
      <c r="A66" s="49"/>
      <c r="B66" s="10" t="s">
        <v>56</v>
      </c>
      <c r="C66" s="15"/>
      <c r="D66" s="38">
        <f>SUM(D61:D65)*1.05</f>
        <v>163.54823114583337</v>
      </c>
      <c r="E66" s="7">
        <f>ROUNDUP(SUM(E61:E65)*1.05,2)</f>
        <v>22.860000000000003</v>
      </c>
      <c r="F66" s="7">
        <f>SUM(F61:F65)*1.05</f>
        <v>0</v>
      </c>
      <c r="G66" s="8" t="s">
        <v>3</v>
      </c>
      <c r="H66" s="49"/>
    </row>
    <row r="67" spans="1:8" ht="15.75" x14ac:dyDescent="0.25">
      <c r="A67" s="49"/>
      <c r="B67" s="76" t="s">
        <v>27</v>
      </c>
      <c r="C67" s="76"/>
      <c r="D67" s="76"/>
      <c r="E67" s="76"/>
      <c r="F67" s="9">
        <f>ROUNDUP(SUM(D66:F66),2)</f>
        <v>186.41</v>
      </c>
      <c r="G67" s="16" t="s">
        <v>3</v>
      </c>
      <c r="H67" s="49"/>
    </row>
    <row r="68" spans="1:8" x14ac:dyDescent="0.25">
      <c r="A68" s="49"/>
      <c r="B68" s="61"/>
      <c r="C68" s="61"/>
      <c r="D68" s="61"/>
      <c r="E68" s="61"/>
      <c r="F68" s="61"/>
      <c r="G68" s="61"/>
      <c r="H68" s="49"/>
    </row>
    <row r="69" spans="1:8" s="12" customFormat="1" ht="21" x14ac:dyDescent="0.25">
      <c r="A69" s="49"/>
      <c r="B69" s="57" t="s">
        <v>37</v>
      </c>
      <c r="C69" s="58"/>
      <c r="D69" s="58"/>
      <c r="E69" s="58"/>
      <c r="F69" s="58"/>
      <c r="G69" s="59"/>
      <c r="H69" s="49"/>
    </row>
    <row r="70" spans="1:8" x14ac:dyDescent="0.25">
      <c r="A70" s="49"/>
      <c r="B70" s="26" t="s">
        <v>0</v>
      </c>
      <c r="C70" s="26"/>
      <c r="D70" s="26" t="s">
        <v>17</v>
      </c>
      <c r="E70" s="5" t="s">
        <v>2</v>
      </c>
      <c r="F70" s="14"/>
      <c r="G70" s="14"/>
      <c r="H70" s="49"/>
    </row>
    <row r="71" spans="1:8" x14ac:dyDescent="0.25">
      <c r="A71" s="49"/>
      <c r="B71" s="15" t="s">
        <v>46</v>
      </c>
      <c r="C71" s="15"/>
      <c r="D71" s="41">
        <f>MAX(2,(E32*0.0000012))*IF(E31=0,0,1)</f>
        <v>0</v>
      </c>
      <c r="E71" s="7" t="s">
        <v>34</v>
      </c>
      <c r="F71" s="14"/>
      <c r="G71" s="14"/>
      <c r="H71" s="49"/>
    </row>
    <row r="72" spans="1:8" x14ac:dyDescent="0.25">
      <c r="A72" s="49"/>
      <c r="B72" s="15" t="s">
        <v>47</v>
      </c>
      <c r="C72" s="15"/>
      <c r="D72" s="41">
        <f>ROUNDUP(MIN(6144,MAX(512,512+(E32 * 0.0005)))/512, 0)*512*IF(E31=0,0,1)</f>
        <v>0</v>
      </c>
      <c r="E72" s="7" t="s">
        <v>35</v>
      </c>
      <c r="F72" s="14"/>
      <c r="G72" s="14"/>
      <c r="H72" s="49"/>
    </row>
    <row r="73" spans="1:8" x14ac:dyDescent="0.25">
      <c r="A73" s="49"/>
      <c r="B73" s="15" t="s">
        <v>48</v>
      </c>
      <c r="C73" s="15"/>
      <c r="D73" s="41">
        <f>ROUNDUP(MAX(4096,D72*2)/1024,0)*1024*IF(E31=0,0,1)</f>
        <v>0</v>
      </c>
      <c r="E73" s="7" t="s">
        <v>35</v>
      </c>
      <c r="F73" s="14"/>
      <c r="G73" s="14"/>
      <c r="H73" s="49"/>
    </row>
    <row r="74" spans="1:8" x14ac:dyDescent="0.25">
      <c r="A74" s="49"/>
      <c r="B74" s="15" t="s">
        <v>49</v>
      </c>
      <c r="C74" s="15"/>
      <c r="D74" s="41">
        <f>ROUNDUP(1+((E32*0.001)/1024),1)*IF(E31=0,0,1)</f>
        <v>0</v>
      </c>
      <c r="E74" s="7" t="s">
        <v>3</v>
      </c>
      <c r="F74" s="14"/>
      <c r="G74" s="14"/>
      <c r="H74" s="49"/>
    </row>
    <row r="75" spans="1:8" x14ac:dyDescent="0.25">
      <c r="A75" s="49"/>
      <c r="B75" s="15" t="s">
        <v>50</v>
      </c>
      <c r="C75" s="15"/>
      <c r="D75" s="41">
        <f>MIN(5,MAX(1,ROUNDUP((E32*0.000000016),2)))*IF(E31=0,0,1)</f>
        <v>0</v>
      </c>
      <c r="E75" s="7" t="s">
        <v>36</v>
      </c>
      <c r="F75" s="14"/>
      <c r="G75" s="14"/>
      <c r="H75" s="49"/>
    </row>
    <row r="76" spans="1:8" x14ac:dyDescent="0.25">
      <c r="A76" s="49"/>
      <c r="B76" s="60"/>
      <c r="C76" s="60"/>
      <c r="D76" s="60"/>
      <c r="E76" s="60"/>
      <c r="F76" s="60"/>
      <c r="G76" s="60"/>
      <c r="H76" s="49"/>
    </row>
    <row r="77" spans="1:8" s="12" customFormat="1" ht="21" x14ac:dyDescent="0.25">
      <c r="A77" s="49"/>
      <c r="B77" s="57" t="s">
        <v>38</v>
      </c>
      <c r="C77" s="58"/>
      <c r="D77" s="58"/>
      <c r="E77" s="58"/>
      <c r="F77" s="58"/>
      <c r="G77" s="59"/>
      <c r="H77" s="49"/>
    </row>
    <row r="78" spans="1:8" x14ac:dyDescent="0.25">
      <c r="A78" s="49"/>
      <c r="B78" s="26" t="s">
        <v>0</v>
      </c>
      <c r="C78" s="26"/>
      <c r="D78" s="26" t="s">
        <v>17</v>
      </c>
      <c r="E78" s="5" t="s">
        <v>2</v>
      </c>
      <c r="F78" s="14"/>
      <c r="G78" s="14"/>
      <c r="H78" s="49"/>
    </row>
    <row r="79" spans="1:8" x14ac:dyDescent="0.25">
      <c r="A79" s="49"/>
      <c r="B79" s="15" t="s">
        <v>46</v>
      </c>
      <c r="C79" s="15"/>
      <c r="D79" s="41">
        <f>MAX(2,(E32*0.00000052))*IF(E31=0,0,1)</f>
        <v>0</v>
      </c>
      <c r="E79" s="7" t="s">
        <v>34</v>
      </c>
      <c r="F79" s="14"/>
      <c r="G79" s="14"/>
      <c r="H79" s="49"/>
    </row>
    <row r="80" spans="1:8" x14ac:dyDescent="0.25">
      <c r="A80" s="49"/>
      <c r="B80" s="15" t="s">
        <v>47</v>
      </c>
      <c r="C80" s="15"/>
      <c r="D80" s="41">
        <f>ROUNDUP(MIN(6144,MAX(512,256+(E32 * 0.0002)+100))/512, 0)*512*IF(E31=0,0,1)</f>
        <v>0</v>
      </c>
      <c r="E80" s="7" t="s">
        <v>35</v>
      </c>
      <c r="F80" s="14"/>
      <c r="G80" s="14"/>
      <c r="H80" s="49"/>
    </row>
    <row r="81" spans="1:8" x14ac:dyDescent="0.25">
      <c r="A81" s="49"/>
      <c r="B81" s="15" t="s">
        <v>48</v>
      </c>
      <c r="C81" s="15"/>
      <c r="D81" s="41">
        <f>ROUNDUP(MAX(4096,(D80*2))/1024,0)*1024*IF(E31=0,0,1)</f>
        <v>0</v>
      </c>
      <c r="E81" s="7" t="s">
        <v>35</v>
      </c>
      <c r="F81" s="14"/>
      <c r="G81" s="14"/>
      <c r="H81" s="49"/>
    </row>
    <row r="82" spans="1:8" x14ac:dyDescent="0.25">
      <c r="A82" s="49"/>
      <c r="B82" s="15" t="s">
        <v>49</v>
      </c>
      <c r="C82" s="15"/>
      <c r="D82" s="41">
        <f>ROUNDUP(1+((E32*0.002)/1024),1)*IF(E31=0,0,1)</f>
        <v>0</v>
      </c>
      <c r="E82" s="7" t="s">
        <v>3</v>
      </c>
      <c r="F82" s="14"/>
      <c r="G82" s="14"/>
      <c r="H82" s="49"/>
    </row>
    <row r="83" spans="1:8" x14ac:dyDescent="0.25">
      <c r="A83" s="49"/>
      <c r="B83" s="15" t="s">
        <v>50</v>
      </c>
      <c r="C83" s="15"/>
      <c r="D83" s="41">
        <f>MIN(5,MAX(1,ROUNDUP((E32*0.000000008),2)))*IF(E31=0,0,1)</f>
        <v>0</v>
      </c>
      <c r="E83" s="7" t="s">
        <v>36</v>
      </c>
      <c r="F83" s="14"/>
      <c r="G83" s="14"/>
      <c r="H83" s="49"/>
    </row>
    <row r="84" spans="1:8" x14ac:dyDescent="0.25">
      <c r="A84" s="49"/>
      <c r="B84" s="51"/>
      <c r="C84" s="51"/>
      <c r="D84" s="51"/>
      <c r="E84" s="51"/>
      <c r="F84" s="51"/>
      <c r="G84" s="51"/>
      <c r="H84" s="49"/>
    </row>
    <row r="85" spans="1:8" x14ac:dyDescent="0.25">
      <c r="A85" s="49"/>
      <c r="B85" s="50" t="s">
        <v>44</v>
      </c>
      <c r="C85" s="50"/>
      <c r="D85" s="50"/>
      <c r="E85" s="50"/>
      <c r="F85" s="50"/>
      <c r="G85" s="50"/>
      <c r="H85" s="49"/>
    </row>
    <row r="86" spans="1:8" x14ac:dyDescent="0.25">
      <c r="A86" s="49"/>
      <c r="B86" s="52"/>
      <c r="C86" s="52"/>
      <c r="D86" s="52"/>
      <c r="E86" s="52"/>
      <c r="F86" s="52"/>
      <c r="G86" s="52"/>
      <c r="H86" s="49"/>
    </row>
    <row r="87" spans="1:8" ht="15" hidden="1" customHeight="1" x14ac:dyDescent="0.25">
      <c r="A87" s="49"/>
      <c r="B87" s="52"/>
      <c r="C87" s="52"/>
      <c r="D87" s="52"/>
      <c r="E87" s="52"/>
      <c r="F87" s="52"/>
      <c r="G87" s="52"/>
      <c r="H87" s="49"/>
    </row>
    <row r="88" spans="1:8" hidden="1" x14ac:dyDescent="0.25"/>
    <row r="89" spans="1:8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B67:E67"/>
    <mergeCell ref="B42:C42"/>
    <mergeCell ref="E42:F42"/>
    <mergeCell ref="B30:D30"/>
    <mergeCell ref="B31:D31"/>
    <mergeCell ref="B32:D32"/>
    <mergeCell ref="D35:F35"/>
    <mergeCell ref="B59:G59"/>
    <mergeCell ref="B45:G45"/>
    <mergeCell ref="B51:G51"/>
    <mergeCell ref="B37:G37"/>
    <mergeCell ref="B38:D38"/>
    <mergeCell ref="B39:D39"/>
    <mergeCell ref="B40:D40"/>
    <mergeCell ref="E43:F43"/>
    <mergeCell ref="B43:C43"/>
    <mergeCell ref="B29:G29"/>
    <mergeCell ref="B20:G20"/>
    <mergeCell ref="D27:F27"/>
    <mergeCell ref="B22:D22"/>
    <mergeCell ref="B17:D17"/>
    <mergeCell ref="B14:D14"/>
    <mergeCell ref="B23:D23"/>
    <mergeCell ref="B18:D18"/>
    <mergeCell ref="B21:D21"/>
    <mergeCell ref="B12:D12"/>
    <mergeCell ref="H1:H87"/>
    <mergeCell ref="B52:G52"/>
    <mergeCell ref="B58:G58"/>
    <mergeCell ref="B7:G7"/>
    <mergeCell ref="B19:G19"/>
    <mergeCell ref="D28:G28"/>
    <mergeCell ref="B26:C28"/>
    <mergeCell ref="B46:G46"/>
    <mergeCell ref="B24:D24"/>
    <mergeCell ref="B11:D11"/>
    <mergeCell ref="B8:D8"/>
    <mergeCell ref="B9:D9"/>
    <mergeCell ref="B13:D13"/>
    <mergeCell ref="B44:C44"/>
    <mergeCell ref="E44:F44"/>
    <mergeCell ref="B16:D16"/>
    <mergeCell ref="A1:A87"/>
    <mergeCell ref="B85:G85"/>
    <mergeCell ref="B84:G84"/>
    <mergeCell ref="B86:G87"/>
    <mergeCell ref="D5:F5"/>
    <mergeCell ref="D6:F6"/>
    <mergeCell ref="C5:C6"/>
    <mergeCell ref="B1:G2"/>
    <mergeCell ref="B69:G69"/>
    <mergeCell ref="B77:G77"/>
    <mergeCell ref="B76:G76"/>
    <mergeCell ref="B68:G68"/>
    <mergeCell ref="B25:D25"/>
    <mergeCell ref="B3:G4"/>
    <mergeCell ref="B10:D10"/>
    <mergeCell ref="B15:D15"/>
  </mergeCells>
  <dataValidations disablePrompts="1" count="2">
    <dataValidation type="custom" allowBlank="1" showInputMessage="1" showErrorMessage="1" promptTitle="DD Collection Mode" sqref="B34 D34" xr:uid="{00000000-0002-0000-0000-000000000000}">
      <formula1>#REF!&lt;=10</formula1>
    </dataValidation>
    <dataValidation type="whole" allowBlank="1" showInputMessage="1" showErrorMessage="1" error="Please enter a value between 1 and 100 (both inclusive)" promptTitle="Top N DD per MSMT " prompt="Please enter a value between 1 and 100" sqref="E34" xr:uid="{00000000-0002-0000-0000-000001000000}">
      <formula1>1</formula1>
      <formula2>100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promptTitle="DD Collection Mode" xr:uid="{00000000-0002-0000-0000-000002000000}">
          <x14:formula1>
            <xm:f>Sheet1!$A$5:$A$6</xm:f>
          </x14:formula1>
          <xm:sqref>C33</xm:sqref>
        </x14:dataValidation>
        <x14:dataValidation type="list" allowBlank="1" showInputMessage="1" showErrorMessage="1" xr:uid="{00000000-0002-0000-0000-000003000000}">
          <x14:formula1>
            <xm:f>Sheet1!$A$1:$A$2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13" sqref="C13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26</v>
      </c>
    </row>
    <row r="5" spans="1:1" x14ac:dyDescent="0.25">
      <c r="A5" t="s">
        <v>24</v>
      </c>
    </row>
    <row r="6" spans="1:1" x14ac:dyDescent="0.25">
      <c r="A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eG Manager &amp; Database Sizing</vt:lpstr>
      <vt:lpstr>Sheet1</vt:lpstr>
    </vt:vector>
  </TitlesOfParts>
  <Company>eG Innovations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</dc:creator>
  <cp:lastModifiedBy>Priya</cp:lastModifiedBy>
  <cp:lastPrinted>2011-07-21T07:19:33Z</cp:lastPrinted>
  <dcterms:created xsi:type="dcterms:W3CDTF">2010-12-17T10:55:02Z</dcterms:created>
  <dcterms:modified xsi:type="dcterms:W3CDTF">2020-11-03T13:52:19Z</dcterms:modified>
</cp:coreProperties>
</file>